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3955" windowHeight="11820"/>
  </bookViews>
  <sheets>
    <sheet name="2014 год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'2014 год'!$A$1:$G$84</definedName>
  </definedNames>
  <calcPr calcId="145621"/>
</workbook>
</file>

<file path=xl/calcChain.xml><?xml version="1.0" encoding="utf-8"?>
<calcChain xmlns="http://schemas.openxmlformats.org/spreadsheetml/2006/main">
  <c r="E75" i="1" l="1"/>
  <c r="F75" i="1" s="1"/>
  <c r="F74" i="1"/>
  <c r="E74" i="1"/>
  <c r="D73" i="1"/>
  <c r="F73" i="1" s="1"/>
  <c r="E72" i="1"/>
  <c r="F72" i="1" s="1"/>
  <c r="D72" i="1"/>
  <c r="F71" i="1"/>
  <c r="E71" i="1"/>
  <c r="D71" i="1"/>
  <c r="F69" i="1"/>
  <c r="E68" i="1"/>
  <c r="F68" i="1" s="1"/>
  <c r="D68" i="1"/>
  <c r="F67" i="1"/>
  <c r="E67" i="1"/>
  <c r="D67" i="1"/>
  <c r="E66" i="1"/>
  <c r="F66" i="1" s="1"/>
  <c r="D66" i="1"/>
  <c r="E65" i="1"/>
  <c r="F65" i="1" s="1"/>
  <c r="D65" i="1"/>
  <c r="D64" i="1" s="1"/>
  <c r="F63" i="1"/>
  <c r="E63" i="1"/>
  <c r="D63" i="1"/>
  <c r="E62" i="1"/>
  <c r="F62" i="1" s="1"/>
  <c r="D62" i="1"/>
  <c r="E61" i="1"/>
  <c r="F61" i="1" s="1"/>
  <c r="D60" i="1"/>
  <c r="F59" i="1"/>
  <c r="F58" i="1"/>
  <c r="F57" i="1"/>
  <c r="D56" i="1"/>
  <c r="F56" i="1" s="1"/>
  <c r="F55" i="1"/>
  <c r="F52" i="1"/>
  <c r="E51" i="1"/>
  <c r="E53" i="1" s="1"/>
  <c r="F53" i="1" s="1"/>
  <c r="D51" i="1"/>
  <c r="D53" i="1" s="1"/>
  <c r="E49" i="1"/>
  <c r="F49" i="1" s="1"/>
  <c r="D49" i="1"/>
  <c r="E48" i="1"/>
  <c r="F48" i="1" s="1"/>
  <c r="F47" i="1"/>
  <c r="E47" i="1"/>
  <c r="D47" i="1"/>
  <c r="E46" i="1"/>
  <c r="F46" i="1" s="1"/>
  <c r="D46" i="1"/>
  <c r="F44" i="1"/>
  <c r="F43" i="1"/>
  <c r="E43" i="1"/>
  <c r="D43" i="1"/>
  <c r="E42" i="1"/>
  <c r="F42" i="1" s="1"/>
  <c r="D42" i="1"/>
  <c r="E41" i="1"/>
  <c r="F41" i="1" s="1"/>
  <c r="D41" i="1"/>
  <c r="E40" i="1"/>
  <c r="D40" i="1"/>
  <c r="F40" i="1" s="1"/>
  <c r="F39" i="1"/>
  <c r="E39" i="1"/>
  <c r="D39" i="1"/>
  <c r="E38" i="1"/>
  <c r="F38" i="1" s="1"/>
  <c r="D38" i="1"/>
  <c r="E37" i="1"/>
  <c r="F37" i="1" s="1"/>
  <c r="D37" i="1"/>
  <c r="E36" i="1"/>
  <c r="D36" i="1"/>
  <c r="F36" i="1" s="1"/>
  <c r="E34" i="1"/>
  <c r="D34" i="1"/>
  <c r="D33" i="1" s="1"/>
  <c r="E32" i="1"/>
  <c r="F32" i="1" s="1"/>
  <c r="D32" i="1"/>
  <c r="E27" i="1"/>
  <c r="F27" i="1" s="1"/>
  <c r="F26" i="1"/>
  <c r="E26" i="1"/>
  <c r="D26" i="1"/>
  <c r="E25" i="1"/>
  <c r="F25" i="1" s="1"/>
  <c r="D25" i="1"/>
  <c r="F22" i="1"/>
  <c r="E22" i="1"/>
  <c r="E50" i="1" s="1"/>
  <c r="F50" i="1" s="1"/>
  <c r="D22" i="1"/>
  <c r="D50" i="1" s="1"/>
  <c r="E21" i="1"/>
  <c r="F21" i="1" s="1"/>
  <c r="D21" i="1"/>
  <c r="E20" i="1"/>
  <c r="F20" i="1" s="1"/>
  <c r="D20" i="1"/>
  <c r="D19" i="1" s="1"/>
  <c r="D18" i="1" l="1"/>
  <c r="E33" i="1"/>
  <c r="F33" i="1" s="1"/>
  <c r="F34" i="1"/>
  <c r="F51" i="1"/>
  <c r="E60" i="1"/>
  <c r="F60" i="1" s="1"/>
  <c r="E19" i="1"/>
  <c r="E64" i="1"/>
  <c r="F64" i="1" s="1"/>
  <c r="F19" i="1" l="1"/>
  <c r="E18" i="1"/>
  <c r="F18" i="1" s="1"/>
</calcChain>
</file>

<file path=xl/comments1.xml><?xml version="1.0" encoding="utf-8"?>
<comments xmlns="http://schemas.openxmlformats.org/spreadsheetml/2006/main">
  <authors>
    <author>Любиченко Светлана Анатольевна</author>
  </authors>
  <commentLis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Любиченко Светлана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аренда имущества и земли</t>
        </r>
      </text>
    </comment>
  </commentList>
</comments>
</file>

<file path=xl/sharedStrings.xml><?xml version="1.0" encoding="utf-8"?>
<sst xmlns="http://schemas.openxmlformats.org/spreadsheetml/2006/main" count="214" uniqueCount="154">
  <si>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</si>
  <si>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</si>
  <si>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</si>
  <si>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</si>
  <si>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</si>
  <si>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</si>
  <si>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</si>
  <si>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 ОАО "Волгоградоблэлектро"</t>
  </si>
  <si>
    <t>ИНН: 3443029580</t>
  </si>
  <si>
    <t>КПП: 344301001</t>
  </si>
  <si>
    <t>Долгосрочный период регулирования: 2012-2014гг.</t>
  </si>
  <si>
    <t>№ п/п</t>
  </si>
  <si>
    <t>Ед. изм.</t>
  </si>
  <si>
    <t>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</si>
  <si>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</si>
  <si>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</si>
  <si>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</si>
  <si>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</si>
  <si>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</si>
  <si>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</si>
  <si>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</si>
  <si>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</si>
  <si>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т.р.</t>
  </si>
  <si>
    <t>1.1</t>
  </si>
  <si>
    <t>Подконтрольные расходы, всего</t>
  </si>
  <si>
    <t>1.1.1</t>
  </si>
  <si>
    <t>Материальные расходы, всего</t>
  </si>
  <si>
    <t xml:space="preserve">Выполнение объемов ремонтных работ в соответствии с планом-графиком 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</si>
  <si>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</si>
  <si>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</si>
  <si>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</si>
  <si>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</si>
  <si>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 xml:space="preserve">По плану-графику работ, проведение аварийно-восстановительных работ. 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</si>
  <si>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</si>
  <si>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</si>
  <si>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</si>
  <si>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</si>
  <si>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</si>
  <si>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</si>
  <si>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</si>
  <si>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</si>
  <si>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</si>
  <si>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</si>
  <si>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</si>
  <si>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</si>
  <si>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</si>
  <si>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</si>
  <si>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</si>
  <si>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</si>
  <si>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</si>
  <si>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</si>
  <si>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</si>
  <si>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согласно ОТС в электроэнергетике, коллективному договору.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</si>
  <si>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</si>
  <si>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</si>
  <si>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</si>
  <si>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</si>
  <si>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</si>
  <si>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</si>
  <si>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</si>
  <si>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</si>
  <si>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</si>
  <si>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</si>
  <si>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</si>
  <si>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</si>
  <si>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финансирование финансово-хозяйственной деятельности</t>
  </si>
  <si>
    <t>1.2.6</t>
  </si>
  <si>
    <t>амортизация</t>
  </si>
  <si>
    <t>1.2.7</t>
  </si>
  <si>
    <t>прибыль на капитальные вложения</t>
  </si>
  <si>
    <t>перераспределение источников финансирования капитальных вложений, осуществление расходов, связанных с финансовой арендой имущества (лизинговые платежи).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</si>
  <si>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</si>
  <si>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</si>
  <si>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</si>
  <si>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</si>
  <si>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</si>
  <si>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</si>
  <si>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в плане по решению регулирующего органа субъекта РФ учтены выпадающие доходы сетевой организации за 2013 и 2014 гг.</t>
  </si>
  <si>
    <t>1.2.10.1</t>
  </si>
  <si>
    <t>Справочно: "Количество льготных технологических присоединений"</t>
  </si>
  <si>
    <t>шт.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</si>
  <si>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</si>
  <si>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</si>
  <si>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</si>
  <si>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</si>
  <si>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дивиденды</t>
  </si>
  <si>
    <r>
      <t xml:space="preserve">выплата дивидендов в соответствии с п. 1.9. Постановления Правительства Волгоградской области от 10.02.2014г. № 35-П </t>
    </r>
    <r>
      <rPr>
        <i/>
        <sz val="10.5"/>
        <rFont val="Times New Roman"/>
        <family val="1"/>
        <charset val="204"/>
      </rPr>
      <t xml:space="preserve">«…не менее 25 процентов чистой прибыли акционерного общества…».   </t>
    </r>
  </si>
  <si>
    <t>ООО "Хоперэлектросервис"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</si>
  <si>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</si>
  <si>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</si>
  <si>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</si>
  <si>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</si>
  <si>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</si>
  <si>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</si>
  <si>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</si>
  <si>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млн.кВтчас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</si>
  <si>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</si>
  <si>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руб./кВтчас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</si>
  <si>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</si>
  <si>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</si>
  <si>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</si>
  <si>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2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</si>
  <si>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</si>
  <si>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</si>
  <si>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</si>
  <si>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уровне напряжения 110кВ</t>
  </si>
  <si>
    <t>2.2.</t>
  </si>
  <si>
    <t>в том числе трансформаторная мощность подстанций на уровне напряжения 35кВ</t>
  </si>
  <si>
    <t>2.3.</t>
  </si>
  <si>
    <t>в том числе трансформаторная мощность подстанций на уровне напряжения 6-10 кВ</t>
  </si>
  <si>
    <t>3</t>
  </si>
  <si>
    <t>Количество условных единиц по линиям электропередач, всего</t>
  </si>
  <si>
    <t>у.е.</t>
  </si>
  <si>
    <t>3.1.</t>
  </si>
  <si>
    <t>в том числе количество условных единиц по линиям электропередач на уровне напряжения 110кВ</t>
  </si>
  <si>
    <t>3.2.</t>
  </si>
  <si>
    <t>в том числе количество условных единиц по линиям электропередач на уровне напряжения 6-10кВ</t>
  </si>
  <si>
    <t>3.3.</t>
  </si>
  <si>
    <t>в том числе количество условных единиц по линиям электропередач на уровне напряжения 0,4кВ</t>
  </si>
  <si>
    <t>4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</si>
  <si>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</si>
  <si>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</si>
  <si>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уровне напряжения 110кВ</t>
  </si>
  <si>
    <t>4.2.</t>
  </si>
  <si>
    <t>в том числе количество условных единиц по подстанциям на уровне напряжения 35кВ</t>
  </si>
  <si>
    <t>4.3.</t>
  </si>
  <si>
    <t>в том числе количество условных единиц по подстанциям на уровне напряжения 6-10кВ</t>
  </si>
  <si>
    <t>5</t>
  </si>
  <si>
    <t>Длина линий электропередач, всего</t>
  </si>
  <si>
    <t>км</t>
  </si>
  <si>
    <t>5.1.</t>
  </si>
  <si>
    <t>в том числе длина линий электропередач на уровне напряжения 110кВ</t>
  </si>
  <si>
    <t>5.2.</t>
  </si>
  <si>
    <t>в том числе длина линий электропередач на уровне напряжения 35кВ</t>
  </si>
  <si>
    <t>5.3.</t>
  </si>
  <si>
    <t>в том числе длина линий электропередач на уровне напряжения 6-10кВ</t>
  </si>
  <si>
    <t>5.4.</t>
  </si>
  <si>
    <t>в том числе длина линий электропередач на уровне напряжения 0,4кВ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</si>
  <si>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</si>
  <si>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</si>
  <si>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</si>
  <si>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</si>
  <si>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</si>
  <si>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тыс.руб.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</si>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</sst>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/>
    <xf numFmtId="0" fontId="2" fillId="0" borderId="1" xfId="0" applyFont="1" applyFill="1" applyBorder="1"/>
    <xf numFmtId="0" fontId="2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5" fillId="0" borderId="8" xfId="0" applyFont="1" applyBorder="1" applyAlignment="1">
      <alignment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/>
    <xf numFmtId="49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64" fontId="5" fillId="0" borderId="8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8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/>
    <xf numFmtId="2" fontId="5" fillId="0" borderId="1" xfId="0" applyNumberFormat="1" applyFont="1" applyFill="1" applyBorder="1" applyAlignment="1">
      <alignment horizontal="right" vertical="center"/>
    </xf>
    <xf numFmtId="2" fontId="5" fillId="0" borderId="8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49" fontId="2" fillId="0" borderId="2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Alignment="1">
      <alignment horizontal="right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49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o\&#1055;&#1069;&#1054;\&#1051;&#1102;&#1073;&#1080;&#1095;&#1077;&#1085;&#1082;&#1086;\&#1051;&#1102;&#1073;&#1080;&#1095;&#1077;&#1085;&#1082;&#1086;\&#1056;&#1069;&#1050;%202016\&#1056;&#1077;&#1075;&#1091;&#1083;&#1080;&#1088;&#1086;&#1074;&#1072;&#1085;&#1080;&#1077;%202016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o\&#1055;&#1069;&#1054;\&#1040;&#1085;&#1072;&#1083;&#1080;&#1079;&#1061;&#1044;\&#1040;&#1085;&#1072;&#1083;&#1080;&#1079;&#1061;&#1044;2014\&#1057;&#1077;&#1073;&#1077;&#1089;&#1090;&#1086;&#1080;&#1084;&#1086;&#1089;&#1090;&#1100;\Zatr-elem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o\&#1055;&#1069;&#1054;\&#1051;&#1102;&#1073;&#1080;&#1095;&#1077;&#1085;&#1082;&#1086;\&#1051;&#1102;&#1073;&#1080;&#1095;&#1077;&#1085;&#1082;&#1086;\&#1056;&#1069;&#1050;%202016\&#1089;&#1090;&#1072;&#1085;&#1076;&#1072;&#1088;&#1090;&#1099;%20&#1088;&#1072;&#1089;&#1082;&#1088;&#1099;&#1090;&#1080;&#1103;%20&#1080;&#1085;&#1092;&#1086;&#1088;&#1084;&#1072;&#1094;&#1080;&#1080;%202014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o\&#1055;&#1069;&#1054;\&#1051;&#1102;&#1073;&#1080;&#1095;&#1077;&#1085;&#1082;&#1086;\&#1051;&#1102;&#1073;&#1080;&#1095;&#1077;&#1085;&#1082;&#1086;\&#1056;&#1069;&#1050;%202016\585%20&#1092;&#1086;&#1088;&#1084;&#1072;%20&#1058;1.6%202014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o\&#1055;&#1069;&#1054;\&#1040;&#1085;&#1072;&#1083;&#1080;&#1079;&#1061;&#1044;\&#1040;&#1085;&#1072;&#1083;&#1080;&#1079;&#1061;&#1044;2014\&#1057;&#1077;&#1073;&#1077;&#1089;&#1090;&#1086;&#1080;&#1084;&#1086;&#1089;&#1090;&#1100;\Zatrati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 показ"/>
      <sheetName val="тариф рез 2014"/>
      <sheetName val="98-э"/>
      <sheetName val="1.21.3. 2016"/>
      <sheetName val="табл 16"/>
      <sheetName val="табл 3.1."/>
      <sheetName val="прочие цехов"/>
      <sheetName val="проч цех (догов)"/>
      <sheetName val="ОЭР"/>
      <sheetName val="проч ОЭР"/>
      <sheetName val="Корр НВВ с учет ПО и цен за2014"/>
      <sheetName val="хоз нужды 2014 факт УРТ"/>
      <sheetName val="структура"/>
      <sheetName val="объемы в Форму 3.1"/>
      <sheetName val="ф 1.3."/>
      <sheetName val="аренда земли"/>
      <sheetName val="выпадающие за 2014"/>
      <sheetName val="кредит"/>
      <sheetName val="раскрытие информации"/>
      <sheetName val="Лист1"/>
    </sheetNames>
    <sheetDataSet>
      <sheetData sheetId="0">
        <row r="28">
          <cell r="D28">
            <v>3911.2</v>
          </cell>
        </row>
        <row r="29">
          <cell r="D29">
            <v>16252.2</v>
          </cell>
        </row>
      </sheetData>
      <sheetData sheetId="1">
        <row r="16">
          <cell r="D16">
            <v>409260.77270999999</v>
          </cell>
        </row>
        <row r="19">
          <cell r="C19">
            <v>226522</v>
          </cell>
          <cell r="D19">
            <v>244856.7</v>
          </cell>
        </row>
        <row r="21">
          <cell r="C21">
            <v>112579.6</v>
          </cell>
          <cell r="D21">
            <v>127725.19</v>
          </cell>
        </row>
        <row r="31">
          <cell r="D31">
            <v>1420.5499999999997</v>
          </cell>
        </row>
        <row r="32">
          <cell r="C32">
            <v>2397.5</v>
          </cell>
          <cell r="D32">
            <v>5227.0150700000013</v>
          </cell>
        </row>
        <row r="36">
          <cell r="C36">
            <v>38258.32</v>
          </cell>
        </row>
        <row r="38">
          <cell r="C38">
            <v>58914.3</v>
          </cell>
          <cell r="D38">
            <v>14582.95</v>
          </cell>
        </row>
        <row r="40">
          <cell r="D40">
            <v>5555.4</v>
          </cell>
        </row>
        <row r="41">
          <cell r="D41">
            <v>28735.299999999996</v>
          </cell>
        </row>
        <row r="42">
          <cell r="D42">
            <v>11413.476696000034</v>
          </cell>
        </row>
      </sheetData>
      <sheetData sheetId="2">
        <row r="18">
          <cell r="F18">
            <v>20163.400000000001</v>
          </cell>
        </row>
        <row r="19">
          <cell r="F19">
            <v>5346.2</v>
          </cell>
        </row>
        <row r="21">
          <cell r="F21">
            <v>13125.8</v>
          </cell>
        </row>
        <row r="22">
          <cell r="F22">
            <v>10202.700000000001</v>
          </cell>
        </row>
        <row r="24">
          <cell r="F24">
            <v>375265.4</v>
          </cell>
        </row>
        <row r="26">
          <cell r="F26">
            <v>69104</v>
          </cell>
        </row>
        <row r="97">
          <cell r="F97">
            <v>1678.4</v>
          </cell>
        </row>
        <row r="98">
          <cell r="F98">
            <v>8750.2999999999993</v>
          </cell>
        </row>
        <row r="111">
          <cell r="F111">
            <v>19049.2</v>
          </cell>
        </row>
        <row r="120">
          <cell r="F120">
            <v>1580</v>
          </cell>
        </row>
        <row r="121">
          <cell r="F121">
            <v>21467</v>
          </cell>
        </row>
        <row r="123">
          <cell r="F123">
            <v>986.9</v>
          </cell>
        </row>
        <row r="124">
          <cell r="F124">
            <v>801.09999999999991</v>
          </cell>
        </row>
        <row r="134">
          <cell r="F134">
            <v>134640.62</v>
          </cell>
        </row>
        <row r="144">
          <cell r="F144">
            <v>6578.2</v>
          </cell>
        </row>
        <row r="162">
          <cell r="F162">
            <v>378116.4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январь-февраль"/>
      <sheetName val="март"/>
      <sheetName val="январь-март"/>
      <sheetName val="апрель"/>
      <sheetName val="январь-апрель"/>
      <sheetName val="май"/>
      <sheetName val="январь-май"/>
      <sheetName val="июнь"/>
      <sheetName val="январь-июнь"/>
      <sheetName val="июль"/>
      <sheetName val="январь-июль"/>
      <sheetName val="август"/>
      <sheetName val="январь-август"/>
      <sheetName val="сентябрь"/>
      <sheetName val="январь-сентябрь"/>
      <sheetName val="октябрь"/>
      <sheetName val="январь-октябрь"/>
      <sheetName val="ноябрь"/>
      <sheetName val="январь-ноябрь"/>
      <sheetName val="декабрь"/>
      <sheetName val="январь-декабрь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D9">
            <v>16602702.640000001</v>
          </cell>
        </row>
        <row r="10">
          <cell r="D10">
            <v>3057663.6300000004</v>
          </cell>
        </row>
        <row r="11">
          <cell r="D11">
            <v>4241658.58</v>
          </cell>
        </row>
        <row r="12">
          <cell r="D12">
            <v>13128017.459999999</v>
          </cell>
        </row>
        <row r="14">
          <cell r="D14">
            <v>27097050.339999996</v>
          </cell>
        </row>
        <row r="18">
          <cell r="D18">
            <v>1074893</v>
          </cell>
        </row>
        <row r="25">
          <cell r="D25">
            <v>1336053.3000000003</v>
          </cell>
        </row>
        <row r="26">
          <cell r="D26">
            <v>354976.37999999995</v>
          </cell>
        </row>
        <row r="32">
          <cell r="D32">
            <v>23641208</v>
          </cell>
        </row>
        <row r="40">
          <cell r="D40">
            <v>95133364.670000002</v>
          </cell>
        </row>
        <row r="41">
          <cell r="D41">
            <v>8206376.6799999997</v>
          </cell>
        </row>
      </sheetData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год"/>
      <sheetName val="2013 год"/>
      <sheetName val="ИЗКУ"/>
    </sheetNames>
    <sheetDataSet>
      <sheetData sheetId="0"/>
      <sheetData sheetId="1"/>
      <sheetData sheetId="2">
        <row r="6">
          <cell r="B6">
            <v>15262.98021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 1.3."/>
      <sheetName val="585 Т1.6 2014 год"/>
    </sheetNames>
    <sheetDataSet>
      <sheetData sheetId="0">
        <row r="36">
          <cell r="CF36">
            <v>41767</v>
          </cell>
        </row>
      </sheetData>
      <sheetData sheetId="1">
        <row r="35">
          <cell r="F35">
            <v>422931.11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январь-февраль"/>
      <sheetName val="март"/>
      <sheetName val="январь-март"/>
      <sheetName val="апрель"/>
      <sheetName val="январь-апрель"/>
      <sheetName val="май"/>
      <sheetName val="январь-май"/>
      <sheetName val="июнь"/>
      <sheetName val="январь-июнь"/>
      <sheetName val="июль"/>
      <sheetName val="январь-июль"/>
      <sheetName val="август"/>
      <sheetName val="январь-август"/>
      <sheetName val="сентябрь"/>
      <sheetName val="январь-сентябрь"/>
      <sheetName val="октябрь"/>
      <sheetName val="январь-октябрь"/>
      <sheetName val="ноябрь"/>
      <sheetName val="январь-ноябрь"/>
      <sheetName val="декабрь"/>
      <sheetName val="январь-декабрь"/>
      <sheetName val="матер текущ рем"/>
      <sheetName val="матер эксплу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7">
          <cell r="D107">
            <v>77127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56">
          <cell r="Y56">
            <v>995324.19000000006</v>
          </cell>
        </row>
        <row r="109">
          <cell r="Y109">
            <v>4742729.92</v>
          </cell>
        </row>
        <row r="121">
          <cell r="Y121">
            <v>17710486.890000004</v>
          </cell>
        </row>
        <row r="123">
          <cell r="Y123">
            <v>451695.01999999955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70" zoomScale="140" zoomScaleNormal="140" zoomScaleSheetLayoutView="100" workbookViewId="0">
      <selection activeCell="D76" sqref="D76"/>
    </sheetView>
  </sheetViews>
  <sheetFormatPr defaultColWidth="0.85546875" defaultRowHeight="15" customHeight="1" x14ac:dyDescent="0.25"/>
  <cols>
    <col min="1" max="1" width="11.5703125" style="4" bestFit="1" customWidth="1"/>
    <col min="2" max="2" width="65.28515625" style="4" customWidth="1"/>
    <col min="3" max="3" width="11.85546875" style="4" customWidth="1"/>
    <col min="4" max="5" width="13.140625" style="4" bestFit="1" customWidth="1"/>
    <col min="6" max="6" width="11.140625" style="4" customWidth="1"/>
    <col min="7" max="7" width="41.140625" style="4" customWidth="1"/>
    <col min="8" max="8" width="0.85546875" style="5"/>
    <col min="9" max="14" width="0.85546875" style="6"/>
    <col min="15" max="16384" width="0.85546875" style="4"/>
  </cols>
  <sheetData>
    <row r="1" spans="1:14" s="35" customFormat="1" ht="12" customHeight="1" x14ac:dyDescent="0.2">
      <c r="B1" s="35" t="s">
        <v>0</v>
      </c>
      <c r="H1" s="2"/>
      <c r="I1" s="3"/>
      <c r="J1" s="3"/>
      <c r="K1" s="3"/>
      <c r="L1" s="3"/>
      <c r="M1" s="3"/>
      <c r="N1" s="3"/>
    </row>
    <row r="2" spans="1:14" s="35" customFormat="1" ht="12" customHeight="1" x14ac:dyDescent="0.2">
      <c r="B2" s="35" t="s">
        <v>1</v>
      </c>
      <c r="H2" s="2"/>
      <c r="I2" s="3"/>
      <c r="J2" s="3"/>
      <c r="K2" s="3"/>
      <c r="L2" s="3"/>
      <c r="M2" s="3"/>
      <c r="N2" s="3"/>
    </row>
    <row r="3" spans="1:14" s="35" customFormat="1" ht="12" customHeight="1" x14ac:dyDescent="0.2">
      <c r="B3" s="35" t="s">
        <v>2</v>
      </c>
      <c r="H3" s="2"/>
      <c r="I3" s="3"/>
      <c r="J3" s="3"/>
      <c r="K3" s="3"/>
      <c r="L3" s="3"/>
      <c r="M3" s="3"/>
      <c r="N3" s="3"/>
    </row>
    <row r="4" spans="1:14" s="36" customFormat="1" ht="21" customHeight="1" x14ac:dyDescent="0.25">
      <c r="H4" s="5"/>
      <c r="I4" s="6"/>
      <c r="J4" s="6"/>
      <c r="K4" s="6"/>
      <c r="L4" s="6"/>
      <c r="M4" s="6"/>
      <c r="N4" s="6"/>
    </row>
    <row r="5" spans="1:14" s="37" customFormat="1" ht="14.25" customHeight="1" x14ac:dyDescent="0.25">
      <c r="A5" s="77" t="s">
        <v>3</v>
      </c>
      <c r="B5" s="77"/>
      <c r="C5" s="77"/>
      <c r="D5" s="77"/>
      <c r="E5" s="77"/>
      <c r="F5" s="77"/>
      <c r="G5" s="77"/>
      <c r="H5" s="7"/>
      <c r="I5" s="8"/>
      <c r="J5" s="8"/>
      <c r="K5" s="8"/>
      <c r="L5" s="8"/>
      <c r="M5" s="8"/>
      <c r="N5" s="8"/>
    </row>
    <row r="6" spans="1:14" s="37" customFormat="1" ht="14.25" customHeight="1" x14ac:dyDescent="0.25">
      <c r="A6" s="77" t="s">
        <v>4</v>
      </c>
      <c r="B6" s="77"/>
      <c r="C6" s="77"/>
      <c r="D6" s="77"/>
      <c r="E6" s="77"/>
      <c r="F6" s="77"/>
      <c r="G6" s="77"/>
      <c r="H6" s="7"/>
      <c r="I6" s="8"/>
      <c r="J6" s="8"/>
      <c r="K6" s="8"/>
      <c r="L6" s="8"/>
      <c r="M6" s="8"/>
      <c r="N6" s="8"/>
    </row>
    <row r="7" spans="1:14" s="37" customFormat="1" ht="14.25" customHeight="1" x14ac:dyDescent="0.25">
      <c r="A7" s="77" t="s">
        <v>5</v>
      </c>
      <c r="B7" s="77"/>
      <c r="C7" s="77"/>
      <c r="D7" s="77"/>
      <c r="E7" s="77"/>
      <c r="F7" s="77"/>
      <c r="G7" s="77"/>
      <c r="H7" s="7"/>
      <c r="I7" s="8"/>
      <c r="J7" s="8"/>
      <c r="K7" s="8"/>
      <c r="L7" s="8"/>
      <c r="M7" s="8"/>
      <c r="N7" s="8"/>
    </row>
    <row r="8" spans="1:14" s="37" customFormat="1" ht="14.25" customHeight="1" x14ac:dyDescent="0.25">
      <c r="A8" s="77" t="s">
        <v>6</v>
      </c>
      <c r="B8" s="77"/>
      <c r="C8" s="77"/>
      <c r="D8" s="77"/>
      <c r="E8" s="77"/>
      <c r="F8" s="77"/>
      <c r="G8" s="77"/>
      <c r="H8" s="7"/>
      <c r="I8" s="8"/>
      <c r="J8" s="8"/>
      <c r="K8" s="8"/>
      <c r="L8" s="8"/>
      <c r="M8" s="8"/>
      <c r="N8" s="8"/>
    </row>
    <row r="9" spans="1:14" s="36" customFormat="1" ht="21" customHeight="1" x14ac:dyDescent="0.25">
      <c r="H9" s="5"/>
      <c r="I9" s="6"/>
      <c r="J9" s="6"/>
      <c r="K9" s="6"/>
      <c r="L9" s="6"/>
      <c r="M9" s="6"/>
      <c r="N9" s="6"/>
    </row>
    <row r="10" spans="1:14" s="36" customFormat="1" x14ac:dyDescent="0.25">
      <c r="B10" s="38" t="s">
        <v>7</v>
      </c>
      <c r="D10" s="39"/>
      <c r="E10" s="39"/>
      <c r="F10" s="40"/>
      <c r="H10" s="5"/>
      <c r="I10" s="6"/>
      <c r="J10" s="6"/>
      <c r="K10" s="6"/>
      <c r="L10" s="6"/>
      <c r="M10" s="6"/>
      <c r="N10" s="6"/>
    </row>
    <row r="11" spans="1:14" s="36" customFormat="1" x14ac:dyDescent="0.25">
      <c r="A11" s="38"/>
      <c r="B11" s="41" t="s">
        <v>8</v>
      </c>
      <c r="C11" s="42"/>
      <c r="H11" s="5"/>
      <c r="I11" s="6"/>
      <c r="J11" s="6"/>
      <c r="K11" s="6"/>
      <c r="L11" s="6"/>
      <c r="M11" s="6"/>
      <c r="N11" s="6"/>
    </row>
    <row r="12" spans="1:14" s="36" customFormat="1" x14ac:dyDescent="0.25">
      <c r="A12" s="38"/>
      <c r="B12" s="43" t="s">
        <v>9</v>
      </c>
      <c r="C12" s="44"/>
      <c r="H12" s="5"/>
      <c r="I12" s="6"/>
      <c r="J12" s="6"/>
      <c r="K12" s="6"/>
      <c r="L12" s="6"/>
      <c r="M12" s="6"/>
      <c r="N12" s="6"/>
    </row>
    <row r="13" spans="1:14" s="36" customFormat="1" x14ac:dyDescent="0.25">
      <c r="B13" s="38" t="s">
        <v>10</v>
      </c>
      <c r="C13" s="45"/>
      <c r="H13" s="5"/>
      <c r="I13" s="6"/>
      <c r="J13" s="6"/>
      <c r="K13" s="6"/>
      <c r="L13" s="6"/>
      <c r="M13" s="6"/>
      <c r="N13" s="6"/>
    </row>
    <row r="14" spans="1:14" s="36" customFormat="1" ht="15" customHeight="1" x14ac:dyDescent="0.25">
      <c r="H14" s="5"/>
      <c r="I14" s="6"/>
      <c r="J14" s="6"/>
      <c r="K14" s="6"/>
      <c r="L14" s="6"/>
      <c r="M14" s="6"/>
      <c r="N14" s="6"/>
    </row>
    <row r="15" spans="1:14" s="49" customFormat="1" ht="13.5" x14ac:dyDescent="0.2">
      <c r="A15" s="46" t="s">
        <v>11</v>
      </c>
      <c r="B15" s="47"/>
      <c r="C15" s="78" t="s">
        <v>12</v>
      </c>
      <c r="D15" s="80" t="s">
        <v>13</v>
      </c>
      <c r="E15" s="80"/>
      <c r="F15" s="80"/>
      <c r="G15" s="48" t="s">
        <v>14</v>
      </c>
      <c r="H15" s="10"/>
      <c r="I15" s="11"/>
      <c r="J15" s="11"/>
      <c r="K15" s="11"/>
      <c r="L15" s="11"/>
      <c r="M15" s="11"/>
      <c r="N15" s="11"/>
    </row>
    <row r="16" spans="1:14" s="49" customFormat="1" ht="13.5" x14ac:dyDescent="0.2">
      <c r="A16" s="50"/>
      <c r="B16" s="51"/>
      <c r="C16" s="79"/>
      <c r="D16" s="52" t="s">
        <v>15</v>
      </c>
      <c r="E16" s="52" t="s">
        <v>16</v>
      </c>
      <c r="F16" s="53"/>
      <c r="G16" s="48"/>
      <c r="H16" s="10"/>
      <c r="I16" s="11"/>
      <c r="J16" s="11"/>
      <c r="K16" s="11"/>
      <c r="L16" s="11"/>
      <c r="M16" s="11"/>
      <c r="N16" s="11"/>
    </row>
    <row r="17" spans="1:14" s="49" customFormat="1" ht="15" customHeight="1" x14ac:dyDescent="0.2">
      <c r="A17" s="54" t="s">
        <v>17</v>
      </c>
      <c r="B17" s="55" t="s">
        <v>18</v>
      </c>
      <c r="C17" s="55"/>
      <c r="D17" s="56" t="s">
        <v>19</v>
      </c>
      <c r="E17" s="56" t="s">
        <v>19</v>
      </c>
      <c r="F17" s="56"/>
      <c r="G17" s="57" t="s">
        <v>19</v>
      </c>
      <c r="H17" s="10"/>
      <c r="I17" s="11"/>
      <c r="J17" s="11"/>
      <c r="K17" s="11"/>
      <c r="L17" s="11"/>
      <c r="M17" s="11"/>
      <c r="N17" s="11"/>
    </row>
    <row r="18" spans="1:14" s="49" customFormat="1" ht="30" customHeight="1" x14ac:dyDescent="0.2">
      <c r="A18" s="58" t="s">
        <v>20</v>
      </c>
      <c r="B18" s="59" t="s">
        <v>21</v>
      </c>
      <c r="C18" s="60" t="s">
        <v>22</v>
      </c>
      <c r="D18" s="61">
        <f>D19+D33+D49</f>
        <v>1261994.94</v>
      </c>
      <c r="E18" s="61">
        <f>E19+E33+E49</f>
        <v>1325302.2457859998</v>
      </c>
      <c r="F18" s="62">
        <f t="shared" ref="F18:F53" si="0">ROUND(E18/D18*100,1)</f>
        <v>105</v>
      </c>
      <c r="G18" s="63"/>
      <c r="H18" s="10"/>
      <c r="I18" s="11"/>
      <c r="J18" s="11"/>
      <c r="K18" s="11"/>
      <c r="L18" s="11"/>
      <c r="M18" s="11"/>
      <c r="N18" s="11"/>
    </row>
    <row r="19" spans="1:14" s="49" customFormat="1" ht="30" customHeight="1" x14ac:dyDescent="0.2">
      <c r="A19" s="58" t="s">
        <v>23</v>
      </c>
      <c r="B19" s="59" t="s">
        <v>24</v>
      </c>
      <c r="C19" s="60" t="s">
        <v>22</v>
      </c>
      <c r="D19" s="61">
        <f>D20+D25+D27+D31+D32</f>
        <v>630792.19999999995</v>
      </c>
      <c r="E19" s="61">
        <f>E20+E25+E27+E31+E32</f>
        <v>737178.57731999992</v>
      </c>
      <c r="F19" s="62">
        <f t="shared" si="0"/>
        <v>116.9</v>
      </c>
      <c r="G19" s="48"/>
      <c r="H19" s="10"/>
      <c r="I19" s="11"/>
      <c r="J19" s="11"/>
      <c r="K19" s="11"/>
      <c r="L19" s="11"/>
      <c r="M19" s="11"/>
      <c r="N19" s="11"/>
    </row>
    <row r="20" spans="1:14" s="49" customFormat="1" ht="28.5" customHeight="1" x14ac:dyDescent="0.2">
      <c r="A20" s="64" t="s">
        <v>25</v>
      </c>
      <c r="B20" s="65" t="s">
        <v>26</v>
      </c>
      <c r="C20" s="66" t="s">
        <v>22</v>
      </c>
      <c r="D20" s="67">
        <f>'[1]98-э'!$F$18+'[1]98-э'!$F$19+'[1]98-э'!$F$21+'[1]98-э'!$F$22+'[1]98-э'!$F$26</f>
        <v>117942.1</v>
      </c>
      <c r="E20" s="67">
        <f>('[2]январь-декабрь'!$D$9+'[2]январь-декабрь'!$D$10+'[2]январь-декабрь'!$D$11+'[2]январь-декабрь'!$D$12+'[2]январь-декабрь'!$D$14+'[2]январь-декабрь'!$D$40)/1000-[3]ИЗКУ!B6</f>
        <v>143997.47710999998</v>
      </c>
      <c r="F20" s="18">
        <f t="shared" si="0"/>
        <v>122.1</v>
      </c>
      <c r="G20" s="48" t="s">
        <v>27</v>
      </c>
      <c r="H20" s="10"/>
      <c r="I20" s="11"/>
      <c r="J20" s="11"/>
      <c r="K20" s="11"/>
      <c r="L20" s="11"/>
      <c r="M20" s="11"/>
      <c r="N20" s="11"/>
    </row>
    <row r="21" spans="1:14" s="49" customFormat="1" ht="30" customHeight="1" x14ac:dyDescent="0.2">
      <c r="A21" s="64" t="s">
        <v>28</v>
      </c>
      <c r="B21" s="65" t="s">
        <v>29</v>
      </c>
      <c r="C21" s="66" t="s">
        <v>22</v>
      </c>
      <c r="D21" s="67">
        <f>'[1]Осн показ'!$D$28+'[1]98-э'!$F$19+'[1]98-э'!$F$21+'[1]98-э'!$F$22</f>
        <v>32585.899999999998</v>
      </c>
      <c r="E21" s="67">
        <f>('[2]январь-декабрь'!$D$9+'[2]январь-декабрь'!$D$10+'[2]январь-декабрь'!$D$11+'[2]январь-декабрь'!$D$14)/1000-[3]ИЗКУ!B6</f>
        <v>35736.094979999994</v>
      </c>
      <c r="F21" s="24">
        <f t="shared" si="0"/>
        <v>109.7</v>
      </c>
      <c r="G21" s="48"/>
      <c r="H21" s="10"/>
      <c r="I21" s="11"/>
      <c r="J21" s="11"/>
      <c r="K21" s="11"/>
      <c r="L21" s="11"/>
      <c r="M21" s="11"/>
      <c r="N21" s="11"/>
    </row>
    <row r="22" spans="1:14" s="49" customFormat="1" ht="39" customHeight="1" x14ac:dyDescent="0.2">
      <c r="A22" s="64" t="s">
        <v>30</v>
      </c>
      <c r="B22" s="65" t="s">
        <v>31</v>
      </c>
      <c r="C22" s="66" t="s">
        <v>22</v>
      </c>
      <c r="D22" s="67">
        <f>'[1]Осн показ'!$D$29+'[1]98-э'!$F$26</f>
        <v>85356.2</v>
      </c>
      <c r="E22" s="67">
        <f>('[2]январь-декабрь'!$D$12+'[2]январь-декабрь'!$D$40)/1000</f>
        <v>108261.38213</v>
      </c>
      <c r="F22" s="24">
        <f t="shared" si="0"/>
        <v>126.8</v>
      </c>
      <c r="G22" s="48" t="s">
        <v>32</v>
      </c>
      <c r="H22" s="10"/>
      <c r="I22" s="11"/>
      <c r="J22" s="11"/>
      <c r="K22" s="11"/>
      <c r="L22" s="11"/>
      <c r="M22" s="11"/>
      <c r="N22" s="11"/>
    </row>
    <row r="23" spans="1:14" s="49" customFormat="1" ht="40.5" x14ac:dyDescent="0.2">
      <c r="A23" s="64" t="s">
        <v>33</v>
      </c>
      <c r="B23" s="65" t="s">
        <v>34</v>
      </c>
      <c r="C23" s="66" t="s">
        <v>22</v>
      </c>
      <c r="D23" s="67">
        <v>0</v>
      </c>
      <c r="E23" s="67">
        <v>0</v>
      </c>
      <c r="F23" s="24"/>
      <c r="G23" s="48"/>
      <c r="H23" s="10"/>
      <c r="I23" s="11"/>
      <c r="J23" s="11"/>
      <c r="K23" s="11"/>
      <c r="L23" s="11"/>
      <c r="M23" s="11"/>
      <c r="N23" s="11"/>
    </row>
    <row r="24" spans="1:14" s="49" customFormat="1" ht="15" customHeight="1" x14ac:dyDescent="0.2">
      <c r="A24" s="64" t="s">
        <v>35</v>
      </c>
      <c r="B24" s="65" t="s">
        <v>36</v>
      </c>
      <c r="C24" s="66" t="s">
        <v>22</v>
      </c>
      <c r="D24" s="67">
        <v>0</v>
      </c>
      <c r="E24" s="67">
        <v>0</v>
      </c>
      <c r="F24" s="24"/>
      <c r="G24" s="48"/>
      <c r="H24" s="10"/>
      <c r="I24" s="11"/>
      <c r="J24" s="11"/>
      <c r="K24" s="11"/>
      <c r="L24" s="11"/>
      <c r="M24" s="11"/>
      <c r="N24" s="11"/>
    </row>
    <row r="25" spans="1:14" s="49" customFormat="1" ht="13.5" x14ac:dyDescent="0.2">
      <c r="A25" s="64" t="s">
        <v>37</v>
      </c>
      <c r="B25" s="65" t="s">
        <v>38</v>
      </c>
      <c r="C25" s="66" t="s">
        <v>22</v>
      </c>
      <c r="D25" s="67">
        <f>'[1]98-э'!$F$24</f>
        <v>375265.4</v>
      </c>
      <c r="E25" s="67">
        <f>'[4]585 Т1.6 2014 год'!$F$35</f>
        <v>422931.11</v>
      </c>
      <c r="F25" s="18">
        <f t="shared" si="0"/>
        <v>112.7</v>
      </c>
      <c r="G25" s="48"/>
      <c r="H25" s="10"/>
      <c r="I25" s="11"/>
      <c r="J25" s="11"/>
      <c r="K25" s="11"/>
      <c r="L25" s="11"/>
      <c r="M25" s="11"/>
      <c r="N25" s="11"/>
    </row>
    <row r="26" spans="1:14" s="49" customFormat="1" ht="15" customHeight="1" x14ac:dyDescent="0.2">
      <c r="A26" s="64" t="s">
        <v>39</v>
      </c>
      <c r="B26" s="65" t="s">
        <v>36</v>
      </c>
      <c r="C26" s="66" t="s">
        <v>22</v>
      </c>
      <c r="D26" s="67">
        <f>77172*0.125/1.304</f>
        <v>7397.622699386503</v>
      </c>
      <c r="E26" s="67">
        <f>'[2]январь-декабрь'!$D$41/1000</f>
        <v>8206.3766799999994</v>
      </c>
      <c r="F26" s="24">
        <f t="shared" si="0"/>
        <v>110.9</v>
      </c>
      <c r="G26" s="48"/>
      <c r="H26" s="10"/>
      <c r="I26" s="11"/>
      <c r="J26" s="11"/>
      <c r="K26" s="11"/>
      <c r="L26" s="11"/>
      <c r="M26" s="11"/>
      <c r="N26" s="11"/>
    </row>
    <row r="27" spans="1:14" s="49" customFormat="1" ht="13.5" x14ac:dyDescent="0.2">
      <c r="A27" s="64" t="s">
        <v>40</v>
      </c>
      <c r="B27" s="65" t="s">
        <v>41</v>
      </c>
      <c r="C27" s="66" t="s">
        <v>22</v>
      </c>
      <c r="D27" s="67">
        <v>127156</v>
      </c>
      <c r="E27" s="67">
        <f>122262.98+[3]ИЗКУ!B6+11413.5-10701.31-3699.41</f>
        <v>134538.74020999999</v>
      </c>
      <c r="F27" s="18">
        <f t="shared" si="0"/>
        <v>105.8</v>
      </c>
      <c r="G27" s="48"/>
      <c r="H27" s="10"/>
      <c r="I27" s="11"/>
      <c r="J27" s="11"/>
      <c r="K27" s="11"/>
      <c r="L27" s="11"/>
      <c r="M27" s="11"/>
      <c r="N27" s="11"/>
    </row>
    <row r="28" spans="1:14" s="49" customFormat="1" ht="27" x14ac:dyDescent="0.2">
      <c r="A28" s="64" t="s">
        <v>42</v>
      </c>
      <c r="B28" s="65" t="s">
        <v>43</v>
      </c>
      <c r="C28" s="66" t="s">
        <v>22</v>
      </c>
      <c r="D28" s="67"/>
      <c r="E28" s="67"/>
      <c r="F28" s="24"/>
      <c r="G28" s="48"/>
      <c r="H28" s="10"/>
      <c r="I28" s="11"/>
      <c r="J28" s="11"/>
      <c r="K28" s="11"/>
      <c r="L28" s="11"/>
      <c r="M28" s="11"/>
      <c r="N28" s="11"/>
    </row>
    <row r="29" spans="1:14" s="49" customFormat="1" ht="15" customHeight="1" x14ac:dyDescent="0.2">
      <c r="A29" s="64" t="s">
        <v>44</v>
      </c>
      <c r="B29" s="65" t="s">
        <v>45</v>
      </c>
      <c r="C29" s="66" t="s">
        <v>22</v>
      </c>
      <c r="D29" s="67"/>
      <c r="E29" s="67"/>
      <c r="F29" s="24"/>
      <c r="G29" s="48"/>
      <c r="H29" s="10"/>
      <c r="I29" s="11"/>
      <c r="J29" s="11"/>
      <c r="K29" s="11"/>
      <c r="L29" s="11"/>
      <c r="M29" s="11"/>
      <c r="N29" s="11"/>
    </row>
    <row r="30" spans="1:14" s="49" customFormat="1" ht="13.5" x14ac:dyDescent="0.2">
      <c r="A30" s="64" t="s">
        <v>46</v>
      </c>
      <c r="B30" s="65" t="s">
        <v>47</v>
      </c>
      <c r="C30" s="66" t="s">
        <v>22</v>
      </c>
      <c r="D30" s="67"/>
      <c r="E30" s="67"/>
      <c r="F30" s="24"/>
      <c r="G30" s="48"/>
      <c r="H30" s="10"/>
      <c r="I30" s="11"/>
      <c r="J30" s="11"/>
      <c r="K30" s="11"/>
      <c r="L30" s="11"/>
      <c r="M30" s="11"/>
      <c r="N30" s="11"/>
    </row>
    <row r="31" spans="1:14" s="49" customFormat="1" ht="27" x14ac:dyDescent="0.2">
      <c r="A31" s="64" t="s">
        <v>48</v>
      </c>
      <c r="B31" s="65" t="s">
        <v>49</v>
      </c>
      <c r="C31" s="66" t="s">
        <v>22</v>
      </c>
      <c r="D31" s="67">
        <v>0</v>
      </c>
      <c r="E31" s="67">
        <v>0</v>
      </c>
      <c r="F31" s="18"/>
      <c r="G31" s="48"/>
      <c r="H31" s="10"/>
      <c r="I31" s="11"/>
      <c r="J31" s="11"/>
      <c r="K31" s="11"/>
      <c r="L31" s="11"/>
      <c r="M31" s="11"/>
      <c r="N31" s="11"/>
    </row>
    <row r="32" spans="1:14" s="49" customFormat="1" ht="27" x14ac:dyDescent="0.2">
      <c r="A32" s="64" t="s">
        <v>50</v>
      </c>
      <c r="B32" s="65" t="s">
        <v>51</v>
      </c>
      <c r="C32" s="66" t="s">
        <v>22</v>
      </c>
      <c r="D32" s="67">
        <f>'[1]98-э'!$F$97+'[1]98-э'!$F$98+0</f>
        <v>10428.699999999999</v>
      </c>
      <c r="E32" s="67">
        <f>'[1]тариф рез 2014'!$D$31+'[1]тариф рез 2014'!$D$40+'[1]тариф рез 2014'!$D$41</f>
        <v>35711.249999999993</v>
      </c>
      <c r="F32" s="18">
        <f t="shared" si="0"/>
        <v>342.4</v>
      </c>
      <c r="G32" s="48" t="s">
        <v>52</v>
      </c>
      <c r="H32" s="10"/>
      <c r="I32" s="11"/>
      <c r="J32" s="11"/>
      <c r="K32" s="11"/>
      <c r="L32" s="11"/>
      <c r="M32" s="11"/>
      <c r="N32" s="11"/>
    </row>
    <row r="33" spans="1:14" s="49" customFormat="1" ht="30" customHeight="1" x14ac:dyDescent="0.2">
      <c r="A33" s="58" t="s">
        <v>53</v>
      </c>
      <c r="B33" s="59" t="s">
        <v>54</v>
      </c>
      <c r="C33" s="60" t="s">
        <v>22</v>
      </c>
      <c r="D33" s="61">
        <f>D34+D35+D36+D37+D38+D39+D40+D41+D42+D43+D45+D46</f>
        <v>624624.54</v>
      </c>
      <c r="E33" s="61">
        <f>E34+E35+E36+E37+E38+E39+E40+E41+E42+E43+E45+E46</f>
        <v>581545.46846600005</v>
      </c>
      <c r="F33" s="62">
        <f t="shared" si="0"/>
        <v>93.1</v>
      </c>
      <c r="G33" s="68"/>
      <c r="H33" s="10"/>
      <c r="I33" s="11"/>
      <c r="J33" s="11"/>
      <c r="K33" s="11"/>
      <c r="L33" s="11"/>
      <c r="M33" s="11"/>
      <c r="N33" s="11"/>
    </row>
    <row r="34" spans="1:14" s="49" customFormat="1" ht="15" customHeight="1" x14ac:dyDescent="0.2">
      <c r="A34" s="64" t="s">
        <v>55</v>
      </c>
      <c r="B34" s="65" t="s">
        <v>56</v>
      </c>
      <c r="C34" s="66"/>
      <c r="D34" s="67">
        <f>'[1]98-э'!$F$111</f>
        <v>19049.2</v>
      </c>
      <c r="E34" s="67">
        <f>'[5]январь-декабрь'!$Y$121/1000</f>
        <v>17710.486890000004</v>
      </c>
      <c r="F34" s="18">
        <f t="shared" si="0"/>
        <v>93</v>
      </c>
      <c r="G34" s="48"/>
      <c r="H34" s="10"/>
      <c r="I34" s="11"/>
      <c r="J34" s="11"/>
      <c r="K34" s="11"/>
      <c r="L34" s="11"/>
      <c r="M34" s="11"/>
      <c r="N34" s="11"/>
    </row>
    <row r="35" spans="1:14" s="49" customFormat="1" ht="27" x14ac:dyDescent="0.2">
      <c r="A35" s="64" t="s">
        <v>57</v>
      </c>
      <c r="B35" s="65" t="s">
        <v>58</v>
      </c>
      <c r="C35" s="66" t="s">
        <v>22</v>
      </c>
      <c r="D35" s="67">
        <v>0</v>
      </c>
      <c r="E35" s="67">
        <v>0</v>
      </c>
      <c r="F35" s="18"/>
      <c r="G35" s="48"/>
      <c r="H35" s="10"/>
      <c r="I35" s="11"/>
      <c r="J35" s="11"/>
      <c r="K35" s="11"/>
      <c r="L35" s="11"/>
      <c r="M35" s="11"/>
      <c r="N35" s="11"/>
    </row>
    <row r="36" spans="1:14" s="49" customFormat="1" ht="15" customHeight="1" x14ac:dyDescent="0.2">
      <c r="A36" s="64" t="s">
        <v>59</v>
      </c>
      <c r="B36" s="65" t="s">
        <v>60</v>
      </c>
      <c r="C36" s="66" t="s">
        <v>22</v>
      </c>
      <c r="D36" s="67">
        <f>747.9+899.1+3754</f>
        <v>5401</v>
      </c>
      <c r="E36" s="67">
        <f>('[5]январь-декабрь'!$Y$109+'[5]январь-декабрь'!$Y$56)/1000</f>
        <v>5738.05411</v>
      </c>
      <c r="F36" s="18">
        <f t="shared" si="0"/>
        <v>106.2</v>
      </c>
      <c r="G36" s="48"/>
      <c r="H36" s="10"/>
      <c r="I36" s="11"/>
      <c r="J36" s="11"/>
      <c r="K36" s="11"/>
      <c r="L36" s="11"/>
      <c r="M36" s="11"/>
      <c r="N36" s="11"/>
    </row>
    <row r="37" spans="1:14" s="49" customFormat="1" ht="15" customHeight="1" x14ac:dyDescent="0.2">
      <c r="A37" s="64" t="s">
        <v>61</v>
      </c>
      <c r="B37" s="65" t="s">
        <v>62</v>
      </c>
      <c r="C37" s="66" t="s">
        <v>22</v>
      </c>
      <c r="D37" s="67">
        <f>'[1]тариф рез 2014'!$C$21</f>
        <v>112579.6</v>
      </c>
      <c r="E37" s="67">
        <f>'[1]тариф рез 2014'!$D$21</f>
        <v>127725.19</v>
      </c>
      <c r="F37" s="18">
        <f t="shared" si="0"/>
        <v>113.5</v>
      </c>
      <c r="G37" s="48"/>
      <c r="H37" s="10"/>
      <c r="I37" s="11"/>
      <c r="J37" s="11"/>
      <c r="K37" s="11"/>
      <c r="L37" s="11"/>
      <c r="M37" s="11"/>
      <c r="N37" s="11"/>
    </row>
    <row r="38" spans="1:14" s="49" customFormat="1" ht="27" x14ac:dyDescent="0.2">
      <c r="A38" s="64" t="s">
        <v>63</v>
      </c>
      <c r="B38" s="65" t="s">
        <v>64</v>
      </c>
      <c r="C38" s="66" t="s">
        <v>22</v>
      </c>
      <c r="D38" s="67">
        <f>'[1]тариф рез 2014'!$C$32</f>
        <v>2397.5</v>
      </c>
      <c r="E38" s="67">
        <f>'[1]тариф рез 2014'!$D$32</f>
        <v>5227.0150700000013</v>
      </c>
      <c r="F38" s="18">
        <f t="shared" si="0"/>
        <v>218</v>
      </c>
      <c r="G38" s="48" t="s">
        <v>65</v>
      </c>
      <c r="H38" s="10"/>
      <c r="I38" s="11"/>
      <c r="J38" s="11"/>
      <c r="K38" s="11"/>
      <c r="L38" s="11"/>
      <c r="M38" s="11"/>
      <c r="N38" s="11"/>
    </row>
    <row r="39" spans="1:14" s="49" customFormat="1" ht="15" customHeight="1" x14ac:dyDescent="0.2">
      <c r="A39" s="64" t="s">
        <v>66</v>
      </c>
      <c r="B39" s="65" t="s">
        <v>67</v>
      </c>
      <c r="C39" s="66" t="s">
        <v>22</v>
      </c>
      <c r="D39" s="67">
        <f>'[1]тариф рез 2014'!$C$19</f>
        <v>226522</v>
      </c>
      <c r="E39" s="67">
        <f>'[1]тариф рез 2014'!$D$19</f>
        <v>244856.7</v>
      </c>
      <c r="F39" s="18">
        <f t="shared" si="0"/>
        <v>108.1</v>
      </c>
      <c r="G39" s="48"/>
      <c r="H39" s="10"/>
      <c r="I39" s="11"/>
      <c r="J39" s="11"/>
      <c r="K39" s="11"/>
      <c r="L39" s="11"/>
      <c r="M39" s="11"/>
      <c r="N39" s="11"/>
    </row>
    <row r="40" spans="1:14" s="49" customFormat="1" ht="67.5" x14ac:dyDescent="0.2">
      <c r="A40" s="64" t="s">
        <v>68</v>
      </c>
      <c r="B40" s="65" t="s">
        <v>69</v>
      </c>
      <c r="C40" s="66" t="s">
        <v>22</v>
      </c>
      <c r="D40" s="67">
        <f>'[1]тариф рез 2014'!$C$38</f>
        <v>58914.3</v>
      </c>
      <c r="E40" s="67">
        <f>'[1]тариф рез 2014'!$D$38</f>
        <v>14582.95</v>
      </c>
      <c r="F40" s="18">
        <f t="shared" si="0"/>
        <v>24.8</v>
      </c>
      <c r="G40" s="48" t="s">
        <v>70</v>
      </c>
      <c r="H40" s="10"/>
      <c r="I40" s="11"/>
      <c r="J40" s="11"/>
      <c r="K40" s="11"/>
      <c r="L40" s="11"/>
      <c r="M40" s="11"/>
      <c r="N40" s="11"/>
    </row>
    <row r="41" spans="1:14" s="49" customFormat="1" ht="15" customHeight="1" x14ac:dyDescent="0.2">
      <c r="A41" s="64" t="s">
        <v>71</v>
      </c>
      <c r="B41" s="65" t="s">
        <v>72</v>
      </c>
      <c r="C41" s="66" t="s">
        <v>22</v>
      </c>
      <c r="D41" s="67">
        <f>'[1]тариф рез 2014'!$C$36</f>
        <v>38258.32</v>
      </c>
      <c r="E41" s="67">
        <f>'[4]Т 1.3.'!$CF$36</f>
        <v>41767</v>
      </c>
      <c r="F41" s="18">
        <f t="shared" si="0"/>
        <v>109.2</v>
      </c>
      <c r="G41" s="48"/>
      <c r="H41" s="10"/>
      <c r="I41" s="11"/>
      <c r="J41" s="11"/>
      <c r="K41" s="11"/>
      <c r="L41" s="11"/>
      <c r="M41" s="11"/>
      <c r="N41" s="11"/>
    </row>
    <row r="42" spans="1:14" s="49" customFormat="1" ht="13.5" x14ac:dyDescent="0.2">
      <c r="A42" s="64" t="s">
        <v>73</v>
      </c>
      <c r="B42" s="65" t="s">
        <v>74</v>
      </c>
      <c r="C42" s="66" t="s">
        <v>22</v>
      </c>
      <c r="D42" s="67">
        <f>'[1]98-э'!$F$120+'[1]98-э'!$F$121+'[1]98-э'!$F$123+'[1]98-э'!$F$124</f>
        <v>24835</v>
      </c>
      <c r="E42" s="67">
        <f>('[2]январь-декабрь'!$D$25+'[2]январь-декабрь'!$D$26+'[2]январь-декабрь'!$D$18+'[2]январь-декабрь'!$D$32)/1000</f>
        <v>26407.130679999998</v>
      </c>
      <c r="F42" s="18">
        <f t="shared" si="0"/>
        <v>106.3</v>
      </c>
      <c r="G42" s="48"/>
      <c r="H42" s="10"/>
      <c r="I42" s="11"/>
      <c r="J42" s="11"/>
      <c r="K42" s="11"/>
      <c r="L42" s="11"/>
      <c r="M42" s="11"/>
      <c r="N42" s="11"/>
    </row>
    <row r="43" spans="1:14" s="49" customFormat="1" ht="40.5" x14ac:dyDescent="0.2">
      <c r="A43" s="64" t="s">
        <v>75</v>
      </c>
      <c r="B43" s="65" t="s">
        <v>76</v>
      </c>
      <c r="C43" s="66" t="s">
        <v>22</v>
      </c>
      <c r="D43" s="67">
        <f>'[1]98-э'!$F$134</f>
        <v>134640.62</v>
      </c>
      <c r="E43" s="67">
        <f>83925.14+1740.63</f>
        <v>85665.77</v>
      </c>
      <c r="F43" s="18">
        <f t="shared" si="0"/>
        <v>63.6</v>
      </c>
      <c r="G43" s="48" t="s">
        <v>77</v>
      </c>
      <c r="H43" s="10"/>
      <c r="I43" s="11"/>
      <c r="J43" s="11"/>
      <c r="K43" s="11"/>
      <c r="L43" s="11"/>
      <c r="M43" s="11"/>
      <c r="N43" s="11"/>
    </row>
    <row r="44" spans="1:14" s="49" customFormat="1" ht="30" customHeight="1" x14ac:dyDescent="0.2">
      <c r="A44" s="64" t="s">
        <v>78</v>
      </c>
      <c r="B44" s="65" t="s">
        <v>79</v>
      </c>
      <c r="C44" s="66" t="s">
        <v>80</v>
      </c>
      <c r="D44" s="67">
        <v>2547</v>
      </c>
      <c r="E44" s="67">
        <v>1932</v>
      </c>
      <c r="F44" s="24">
        <f>ROUND(E44/D44*100,2)</f>
        <v>75.849999999999994</v>
      </c>
      <c r="G44" s="48"/>
      <c r="H44" s="10"/>
      <c r="I44" s="11"/>
      <c r="J44" s="11"/>
      <c r="K44" s="11"/>
      <c r="L44" s="11"/>
      <c r="M44" s="11"/>
      <c r="N44" s="11"/>
    </row>
    <row r="45" spans="1:14" s="49" customFormat="1" ht="81" x14ac:dyDescent="0.2">
      <c r="A45" s="64" t="s">
        <v>81</v>
      </c>
      <c r="B45" s="65" t="s">
        <v>82</v>
      </c>
      <c r="C45" s="66" t="s">
        <v>22</v>
      </c>
      <c r="D45" s="67">
        <v>0</v>
      </c>
      <c r="E45" s="67">
        <v>0</v>
      </c>
      <c r="F45" s="18"/>
      <c r="G45" s="48"/>
      <c r="H45" s="10"/>
      <c r="I45" s="11"/>
      <c r="J45" s="11"/>
      <c r="K45" s="11"/>
      <c r="L45" s="11"/>
      <c r="M45" s="11"/>
      <c r="N45" s="11"/>
    </row>
    <row r="46" spans="1:14" s="49" customFormat="1" ht="13.5" x14ac:dyDescent="0.2">
      <c r="A46" s="64" t="s">
        <v>83</v>
      </c>
      <c r="B46" s="65" t="s">
        <v>84</v>
      </c>
      <c r="C46" s="66" t="s">
        <v>22</v>
      </c>
      <c r="D46" s="67">
        <f>D47+D48</f>
        <v>2027</v>
      </c>
      <c r="E46" s="67">
        <f>E47+E48</f>
        <v>11865.171716000033</v>
      </c>
      <c r="F46" s="18">
        <f t="shared" si="0"/>
        <v>585.4</v>
      </c>
      <c r="G46" s="48"/>
      <c r="H46" s="10"/>
      <c r="I46" s="11"/>
      <c r="J46" s="11"/>
      <c r="K46" s="11"/>
      <c r="L46" s="11"/>
      <c r="M46" s="11"/>
      <c r="N46" s="11"/>
    </row>
    <row r="47" spans="1:14" s="49" customFormat="1" ht="67.5" x14ac:dyDescent="0.2">
      <c r="A47" s="64"/>
      <c r="B47" s="65" t="s">
        <v>85</v>
      </c>
      <c r="C47" s="66" t="s">
        <v>22</v>
      </c>
      <c r="D47" s="67">
        <f>1554</f>
        <v>1554</v>
      </c>
      <c r="E47" s="67">
        <f>'[1]тариф рез 2014'!$D$42</f>
        <v>11413.476696000034</v>
      </c>
      <c r="F47" s="18">
        <f t="shared" si="0"/>
        <v>734.5</v>
      </c>
      <c r="G47" s="69" t="s">
        <v>86</v>
      </c>
      <c r="H47" s="10"/>
      <c r="I47" s="11"/>
      <c r="J47" s="11"/>
      <c r="K47" s="11"/>
      <c r="L47" s="11"/>
      <c r="M47" s="11"/>
      <c r="N47" s="11"/>
    </row>
    <row r="48" spans="1:14" s="49" customFormat="1" ht="15.75" x14ac:dyDescent="0.2">
      <c r="A48" s="64"/>
      <c r="B48" s="65" t="s">
        <v>87</v>
      </c>
      <c r="C48" s="66" t="s">
        <v>22</v>
      </c>
      <c r="D48" s="67">
        <v>473</v>
      </c>
      <c r="E48" s="67">
        <f>'[5]январь-декабрь'!$Y$123/1000</f>
        <v>451.69501999999954</v>
      </c>
      <c r="F48" s="18">
        <f t="shared" si="0"/>
        <v>95.5</v>
      </c>
      <c r="G48" s="70"/>
      <c r="H48" s="10"/>
      <c r="I48" s="11"/>
      <c r="J48" s="11"/>
      <c r="K48" s="11"/>
      <c r="L48" s="11"/>
      <c r="M48" s="11"/>
      <c r="N48" s="11"/>
    </row>
    <row r="49" spans="1:14" s="49" customFormat="1" ht="27" x14ac:dyDescent="0.2">
      <c r="A49" s="71" t="s">
        <v>88</v>
      </c>
      <c r="B49" s="72" t="s">
        <v>89</v>
      </c>
      <c r="C49" s="55" t="s">
        <v>22</v>
      </c>
      <c r="D49" s="73">
        <f>'[1]98-э'!$F$144</f>
        <v>6578.2</v>
      </c>
      <c r="E49" s="73">
        <f>D49</f>
        <v>6578.2</v>
      </c>
      <c r="F49" s="74">
        <f t="shared" si="0"/>
        <v>100</v>
      </c>
      <c r="G49" s="68"/>
      <c r="H49" s="10"/>
      <c r="I49" s="11"/>
      <c r="J49" s="11"/>
      <c r="K49" s="11"/>
      <c r="L49" s="11"/>
      <c r="M49" s="11"/>
      <c r="N49" s="11"/>
    </row>
    <row r="50" spans="1:14" s="49" customFormat="1" ht="27" x14ac:dyDescent="0.2">
      <c r="A50" s="64" t="s">
        <v>90</v>
      </c>
      <c r="B50" s="65" t="s">
        <v>91</v>
      </c>
      <c r="C50" s="66"/>
      <c r="D50" s="67">
        <f>D22+D26</f>
        <v>92753.822699386496</v>
      </c>
      <c r="E50" s="67">
        <f>E22+E26</f>
        <v>116467.75881</v>
      </c>
      <c r="F50" s="24">
        <f>ROUND(E50/D50*100,2)</f>
        <v>125.57</v>
      </c>
      <c r="G50" s="48"/>
      <c r="H50" s="10"/>
      <c r="I50" s="11"/>
      <c r="J50" s="11"/>
      <c r="K50" s="11"/>
      <c r="L50" s="11"/>
      <c r="M50" s="11"/>
      <c r="N50" s="11"/>
    </row>
    <row r="51" spans="1:14" s="49" customFormat="1" ht="31.5" x14ac:dyDescent="0.2">
      <c r="A51" s="58" t="s">
        <v>92</v>
      </c>
      <c r="B51" s="59" t="s">
        <v>93</v>
      </c>
      <c r="C51" s="60" t="s">
        <v>22</v>
      </c>
      <c r="D51" s="75">
        <f>'[1]98-э'!$F$162</f>
        <v>378116.4</v>
      </c>
      <c r="E51" s="75">
        <f>'[1]тариф рез 2014'!$D$16</f>
        <v>409260.77270999999</v>
      </c>
      <c r="F51" s="62">
        <f t="shared" si="0"/>
        <v>108.2</v>
      </c>
      <c r="G51" s="63"/>
      <c r="H51" s="10"/>
      <c r="I51" s="11"/>
      <c r="J51" s="11"/>
      <c r="K51" s="11"/>
      <c r="L51" s="11"/>
      <c r="M51" s="11"/>
      <c r="N51" s="11"/>
    </row>
    <row r="52" spans="1:14" s="12" customFormat="1" ht="30" customHeight="1" x14ac:dyDescent="0.2">
      <c r="A52" s="13" t="s">
        <v>23</v>
      </c>
      <c r="B52" s="14" t="s">
        <v>94</v>
      </c>
      <c r="C52" s="17" t="s">
        <v>95</v>
      </c>
      <c r="D52" s="16">
        <v>208.02600000000001</v>
      </c>
      <c r="E52" s="16">
        <v>212.89699999999999</v>
      </c>
      <c r="F52" s="18">
        <f t="shared" si="0"/>
        <v>102.3</v>
      </c>
      <c r="G52" s="9"/>
      <c r="H52" s="10"/>
      <c r="I52" s="11"/>
      <c r="J52" s="11"/>
      <c r="K52" s="11"/>
      <c r="L52" s="11"/>
      <c r="M52" s="11"/>
      <c r="N52" s="11"/>
    </row>
    <row r="53" spans="1:14" s="12" customFormat="1" ht="63.75" customHeight="1" x14ac:dyDescent="0.2">
      <c r="A53" s="13" t="s">
        <v>53</v>
      </c>
      <c r="B53" s="14" t="s">
        <v>96</v>
      </c>
      <c r="C53" s="17" t="s">
        <v>97</v>
      </c>
      <c r="D53" s="16">
        <f>ROUND(D51/D52/1000,3)</f>
        <v>1.8180000000000001</v>
      </c>
      <c r="E53" s="16">
        <f>ROUND(E51/E52/1000,3)</f>
        <v>1.9219999999999999</v>
      </c>
      <c r="F53" s="18">
        <f t="shared" si="0"/>
        <v>105.7</v>
      </c>
      <c r="G53" s="9"/>
      <c r="H53" s="10"/>
      <c r="I53" s="11"/>
      <c r="J53" s="11"/>
      <c r="K53" s="11"/>
      <c r="L53" s="11"/>
      <c r="M53" s="11"/>
      <c r="N53" s="11"/>
    </row>
    <row r="54" spans="1:14" s="12" customFormat="1" ht="57" customHeight="1" x14ac:dyDescent="0.2">
      <c r="A54" s="13" t="s">
        <v>98</v>
      </c>
      <c r="B54" s="14" t="s">
        <v>99</v>
      </c>
      <c r="C54" s="19" t="s">
        <v>19</v>
      </c>
      <c r="D54" s="19" t="s">
        <v>19</v>
      </c>
      <c r="E54" s="19" t="s">
        <v>19</v>
      </c>
      <c r="F54" s="19" t="s">
        <v>19</v>
      </c>
      <c r="G54" s="20" t="s">
        <v>19</v>
      </c>
      <c r="H54" s="10"/>
      <c r="I54" s="11"/>
      <c r="J54" s="11"/>
      <c r="K54" s="11"/>
      <c r="L54" s="11"/>
      <c r="M54" s="11"/>
      <c r="N54" s="11"/>
    </row>
    <row r="55" spans="1:14" s="12" customFormat="1" ht="30" customHeight="1" x14ac:dyDescent="0.2">
      <c r="A55" s="13" t="s">
        <v>20</v>
      </c>
      <c r="B55" s="14" t="s">
        <v>100</v>
      </c>
      <c r="C55" s="15" t="s">
        <v>80</v>
      </c>
      <c r="D55" s="21">
        <v>264664</v>
      </c>
      <c r="E55" s="21">
        <v>267137</v>
      </c>
      <c r="F55" s="22">
        <f>ROUND(E55/D55*100,2)</f>
        <v>100.93</v>
      </c>
      <c r="G55" s="9"/>
      <c r="H55" s="10"/>
      <c r="I55" s="11"/>
      <c r="J55" s="11"/>
      <c r="K55" s="11"/>
      <c r="L55" s="11"/>
      <c r="M55" s="11"/>
      <c r="N55" s="11"/>
    </row>
    <row r="56" spans="1:14" s="12" customFormat="1" ht="15" customHeight="1" x14ac:dyDescent="0.2">
      <c r="A56" s="13" t="s">
        <v>101</v>
      </c>
      <c r="B56" s="14" t="s">
        <v>102</v>
      </c>
      <c r="C56" s="15" t="s">
        <v>103</v>
      </c>
      <c r="D56" s="16">
        <f>D57+D58+D59</f>
        <v>758.50200000000007</v>
      </c>
      <c r="E56" s="16">
        <v>768.53399999999999</v>
      </c>
      <c r="F56" s="22">
        <f>ROUND(E56/D56*100,2)</f>
        <v>101.32</v>
      </c>
      <c r="G56" s="9"/>
      <c r="H56" s="10"/>
      <c r="I56" s="11"/>
      <c r="J56" s="11"/>
      <c r="K56" s="11"/>
      <c r="L56" s="11"/>
      <c r="M56" s="11"/>
      <c r="N56" s="11"/>
    </row>
    <row r="57" spans="1:14" s="12" customFormat="1" ht="27" x14ac:dyDescent="0.2">
      <c r="A57" s="13" t="s">
        <v>104</v>
      </c>
      <c r="B57" s="14" t="s">
        <v>105</v>
      </c>
      <c r="C57" s="15" t="s">
        <v>103</v>
      </c>
      <c r="D57" s="16">
        <v>62.6</v>
      </c>
      <c r="E57" s="16">
        <v>62.6</v>
      </c>
      <c r="F57" s="22">
        <f t="shared" ref="F57:F67" si="1">ROUND(E57/D57*100,2)</f>
        <v>100</v>
      </c>
      <c r="G57" s="9"/>
      <c r="H57" s="10"/>
      <c r="I57" s="11"/>
      <c r="J57" s="11"/>
      <c r="K57" s="11"/>
      <c r="L57" s="11"/>
      <c r="M57" s="11"/>
      <c r="N57" s="11"/>
    </row>
    <row r="58" spans="1:14" s="12" customFormat="1" ht="27" x14ac:dyDescent="0.2">
      <c r="A58" s="13" t="s">
        <v>106</v>
      </c>
      <c r="B58" s="14" t="s">
        <v>107</v>
      </c>
      <c r="C58" s="15" t="s">
        <v>103</v>
      </c>
      <c r="D58" s="23">
        <v>20</v>
      </c>
      <c r="E58" s="23">
        <v>20</v>
      </c>
      <c r="F58" s="22">
        <f t="shared" si="1"/>
        <v>100</v>
      </c>
      <c r="G58" s="9"/>
      <c r="H58" s="10"/>
      <c r="I58" s="11"/>
      <c r="J58" s="11"/>
      <c r="K58" s="11"/>
      <c r="L58" s="11"/>
      <c r="M58" s="11"/>
      <c r="N58" s="11"/>
    </row>
    <row r="59" spans="1:14" s="12" customFormat="1" ht="30" customHeight="1" x14ac:dyDescent="0.2">
      <c r="A59" s="13" t="s">
        <v>108</v>
      </c>
      <c r="B59" s="14" t="s">
        <v>109</v>
      </c>
      <c r="C59" s="15" t="s">
        <v>103</v>
      </c>
      <c r="D59" s="16">
        <v>675.90200000000004</v>
      </c>
      <c r="E59" s="16">
        <v>685.93399999999997</v>
      </c>
      <c r="F59" s="22">
        <f t="shared" si="1"/>
        <v>101.48</v>
      </c>
      <c r="G59" s="9"/>
      <c r="H59" s="10"/>
      <c r="I59" s="11"/>
      <c r="J59" s="11"/>
      <c r="K59" s="11"/>
      <c r="L59" s="11"/>
      <c r="M59" s="11"/>
      <c r="N59" s="11"/>
    </row>
    <row r="60" spans="1:14" s="12" customFormat="1" ht="30" customHeight="1" x14ac:dyDescent="0.2">
      <c r="A60" s="13" t="s">
        <v>110</v>
      </c>
      <c r="B60" s="14" t="s">
        <v>111</v>
      </c>
      <c r="C60" s="15" t="s">
        <v>112</v>
      </c>
      <c r="D60" s="24">
        <f>D61+D62+D63</f>
        <v>13705.19</v>
      </c>
      <c r="E60" s="24">
        <f>E61+E62+E63</f>
        <v>13073.289999999999</v>
      </c>
      <c r="F60" s="22">
        <f t="shared" si="1"/>
        <v>95.39</v>
      </c>
      <c r="G60" s="9"/>
      <c r="H60" s="10"/>
      <c r="I60" s="11"/>
      <c r="J60" s="11"/>
      <c r="K60" s="11"/>
      <c r="L60" s="11"/>
      <c r="M60" s="11"/>
      <c r="N60" s="11"/>
    </row>
    <row r="61" spans="1:14" s="12" customFormat="1" ht="30" customHeight="1" x14ac:dyDescent="0.2">
      <c r="A61" s="13" t="s">
        <v>113</v>
      </c>
      <c r="B61" s="14" t="s">
        <v>114</v>
      </c>
      <c r="C61" s="15" t="s">
        <v>112</v>
      </c>
      <c r="D61" s="24">
        <v>1.92</v>
      </c>
      <c r="E61" s="24">
        <f>1.92</f>
        <v>1.92</v>
      </c>
      <c r="F61" s="22">
        <f t="shared" si="1"/>
        <v>100</v>
      </c>
      <c r="G61" s="9"/>
      <c r="H61" s="10"/>
      <c r="I61" s="11"/>
      <c r="J61" s="11"/>
      <c r="K61" s="11"/>
      <c r="L61" s="11"/>
      <c r="M61" s="11"/>
      <c r="N61" s="11"/>
    </row>
    <row r="62" spans="1:14" s="12" customFormat="1" ht="30" customHeight="1" x14ac:dyDescent="0.2">
      <c r="A62" s="13" t="s">
        <v>115</v>
      </c>
      <c r="B62" s="14" t="s">
        <v>116</v>
      </c>
      <c r="C62" s="15" t="s">
        <v>112</v>
      </c>
      <c r="D62" s="24">
        <f>151.2+312.45+854.6+1735.34</f>
        <v>3053.59</v>
      </c>
      <c r="E62" s="24">
        <f>136+241.92+943.8+1704.68</f>
        <v>3026.3999999999996</v>
      </c>
      <c r="F62" s="22">
        <f t="shared" si="1"/>
        <v>99.11</v>
      </c>
      <c r="G62" s="9"/>
      <c r="H62" s="10"/>
      <c r="I62" s="11"/>
      <c r="J62" s="11"/>
      <c r="K62" s="11"/>
      <c r="L62" s="11"/>
      <c r="M62" s="11"/>
      <c r="N62" s="11"/>
    </row>
    <row r="63" spans="1:14" s="12" customFormat="1" ht="30" customHeight="1" x14ac:dyDescent="0.2">
      <c r="A63" s="13" t="s">
        <v>117</v>
      </c>
      <c r="B63" s="14" t="s">
        <v>118</v>
      </c>
      <c r="C63" s="15" t="s">
        <v>112</v>
      </c>
      <c r="D63" s="24">
        <f>2186.39+4724.45+2700.66+1038.18</f>
        <v>10649.68</v>
      </c>
      <c r="E63" s="24">
        <f>2172.3+4125+2715+1032.67</f>
        <v>10044.969999999999</v>
      </c>
      <c r="F63" s="22">
        <f t="shared" si="1"/>
        <v>94.32</v>
      </c>
      <c r="G63" s="9"/>
      <c r="H63" s="10"/>
      <c r="I63" s="11"/>
      <c r="J63" s="11"/>
      <c r="K63" s="11"/>
      <c r="L63" s="11"/>
      <c r="M63" s="11"/>
      <c r="N63" s="11"/>
    </row>
    <row r="64" spans="1:14" s="12" customFormat="1" ht="30" customHeight="1" x14ac:dyDescent="0.2">
      <c r="A64" s="13" t="s">
        <v>119</v>
      </c>
      <c r="B64" s="14" t="s">
        <v>120</v>
      </c>
      <c r="C64" s="15" t="s">
        <v>112</v>
      </c>
      <c r="D64" s="24">
        <f>D65+D66+D67</f>
        <v>22418.199999999997</v>
      </c>
      <c r="E64" s="24">
        <f>E65+E66+E67</f>
        <v>23114.7</v>
      </c>
      <c r="F64" s="22">
        <f t="shared" si="1"/>
        <v>103.11</v>
      </c>
      <c r="G64" s="9"/>
      <c r="H64" s="10"/>
      <c r="I64" s="11"/>
      <c r="J64" s="11"/>
      <c r="K64" s="11"/>
      <c r="L64" s="11"/>
      <c r="M64" s="11"/>
      <c r="N64" s="11"/>
    </row>
    <row r="65" spans="1:15" s="12" customFormat="1" ht="30" customHeight="1" x14ac:dyDescent="0.2">
      <c r="A65" s="13" t="s">
        <v>121</v>
      </c>
      <c r="B65" s="14" t="s">
        <v>122</v>
      </c>
      <c r="C65" s="15" t="s">
        <v>112</v>
      </c>
      <c r="D65" s="24">
        <f>210+31.2+52+19</f>
        <v>312.2</v>
      </c>
      <c r="E65" s="24">
        <f>210+31.2+52+19</f>
        <v>312.2</v>
      </c>
      <c r="F65" s="22">
        <f t="shared" si="1"/>
        <v>100</v>
      </c>
      <c r="G65" s="9"/>
      <c r="H65" s="10"/>
      <c r="I65" s="11"/>
      <c r="J65" s="11"/>
      <c r="K65" s="11"/>
      <c r="L65" s="11"/>
      <c r="M65" s="11"/>
      <c r="N65" s="11"/>
    </row>
    <row r="66" spans="1:15" s="12" customFormat="1" ht="30" customHeight="1" x14ac:dyDescent="0.2">
      <c r="A66" s="13" t="s">
        <v>123</v>
      </c>
      <c r="B66" s="14" t="s">
        <v>124</v>
      </c>
      <c r="C66" s="15" t="s">
        <v>112</v>
      </c>
      <c r="D66" s="24">
        <f>75+4.2+22+37.6</f>
        <v>138.80000000000001</v>
      </c>
      <c r="E66" s="24">
        <f>75+4.2+22+37.6</f>
        <v>138.80000000000001</v>
      </c>
      <c r="F66" s="22">
        <f t="shared" si="1"/>
        <v>100</v>
      </c>
      <c r="G66" s="9"/>
      <c r="H66" s="10"/>
      <c r="I66" s="11"/>
      <c r="J66" s="11"/>
      <c r="K66" s="11"/>
      <c r="L66" s="11"/>
      <c r="M66" s="11"/>
      <c r="N66" s="11"/>
    </row>
    <row r="67" spans="1:15" s="12" customFormat="1" ht="30" customHeight="1" x14ac:dyDescent="0.2">
      <c r="A67" s="13" t="s">
        <v>125</v>
      </c>
      <c r="B67" s="14" t="s">
        <v>126</v>
      </c>
      <c r="C67" s="15" t="s">
        <v>112</v>
      </c>
      <c r="D67" s="24">
        <f>6+1012+1196.6+14814.3+305+3406.3+1227</f>
        <v>21967.199999999997</v>
      </c>
      <c r="E67" s="24">
        <f>4+1061.5+1174.9+15357.1+132.5+3631.7+1302</f>
        <v>22663.7</v>
      </c>
      <c r="F67" s="22">
        <f t="shared" si="1"/>
        <v>103.17</v>
      </c>
      <c r="G67" s="9"/>
      <c r="H67" s="10"/>
      <c r="I67" s="11"/>
      <c r="J67" s="11"/>
      <c r="K67" s="11"/>
      <c r="L67" s="11"/>
      <c r="M67" s="11"/>
      <c r="N67" s="11"/>
    </row>
    <row r="68" spans="1:15" s="12" customFormat="1" ht="15" customHeight="1" x14ac:dyDescent="0.2">
      <c r="A68" s="13" t="s">
        <v>127</v>
      </c>
      <c r="B68" s="14" t="s">
        <v>128</v>
      </c>
      <c r="C68" s="15" t="s">
        <v>129</v>
      </c>
      <c r="D68" s="25">
        <f>D69+D70+D71+D72</f>
        <v>6764.7489999999998</v>
      </c>
      <c r="E68" s="25">
        <f>E69+E70+E71+E72</f>
        <v>6506.8289999999997</v>
      </c>
      <c r="F68" s="22">
        <f>ROUND(E68/D68*100,2)</f>
        <v>96.19</v>
      </c>
      <c r="G68" s="9"/>
      <c r="H68" s="10"/>
      <c r="I68" s="11"/>
      <c r="J68" s="11"/>
      <c r="K68" s="11"/>
      <c r="L68" s="11"/>
      <c r="M68" s="11"/>
      <c r="N68" s="11"/>
    </row>
    <row r="69" spans="1:15" s="12" customFormat="1" ht="15" customHeight="1" x14ac:dyDescent="0.2">
      <c r="A69" s="13" t="s">
        <v>130</v>
      </c>
      <c r="B69" s="14" t="s">
        <v>131</v>
      </c>
      <c r="C69" s="15" t="s">
        <v>129</v>
      </c>
      <c r="D69" s="26">
        <v>1.01</v>
      </c>
      <c r="E69" s="26">
        <v>1.01</v>
      </c>
      <c r="F69" s="22">
        <f t="shared" ref="F69:F75" si="2">ROUND(E69/D69*100,2)</f>
        <v>100</v>
      </c>
      <c r="G69" s="9"/>
      <c r="H69" s="10"/>
      <c r="I69" s="11"/>
      <c r="J69" s="11"/>
      <c r="K69" s="11"/>
      <c r="L69" s="11"/>
      <c r="M69" s="11"/>
      <c r="N69" s="11"/>
    </row>
    <row r="70" spans="1:15" s="12" customFormat="1" ht="15" customHeight="1" x14ac:dyDescent="0.2">
      <c r="A70" s="13" t="s">
        <v>132</v>
      </c>
      <c r="B70" s="14" t="s">
        <v>133</v>
      </c>
      <c r="C70" s="15" t="s">
        <v>129</v>
      </c>
      <c r="D70" s="25">
        <v>0</v>
      </c>
      <c r="E70" s="25">
        <v>0</v>
      </c>
      <c r="F70" s="22"/>
      <c r="G70" s="9"/>
      <c r="H70" s="10"/>
      <c r="I70" s="11"/>
      <c r="J70" s="11"/>
      <c r="K70" s="11"/>
      <c r="L70" s="11"/>
      <c r="M70" s="11"/>
      <c r="N70" s="11"/>
    </row>
    <row r="71" spans="1:15" s="12" customFormat="1" ht="30" customHeight="1" x14ac:dyDescent="0.2">
      <c r="A71" s="13" t="s">
        <v>134</v>
      </c>
      <c r="B71" s="14" t="s">
        <v>135</v>
      </c>
      <c r="C71" s="15" t="s">
        <v>129</v>
      </c>
      <c r="D71" s="25">
        <f>94.5+223.175+776.905+495.81</f>
        <v>1590.3899999999999</v>
      </c>
      <c r="E71" s="25">
        <f>172.8+85+858+487.05</f>
        <v>1602.85</v>
      </c>
      <c r="F71" s="22">
        <f t="shared" si="2"/>
        <v>100.78</v>
      </c>
      <c r="G71" s="9"/>
      <c r="H71" s="10"/>
      <c r="I71" s="11"/>
      <c r="J71" s="11"/>
      <c r="K71" s="11"/>
      <c r="L71" s="11"/>
      <c r="M71" s="11"/>
      <c r="N71" s="11"/>
    </row>
    <row r="72" spans="1:15" s="12" customFormat="1" ht="30" customHeight="1" x14ac:dyDescent="0.2">
      <c r="A72" s="13" t="s">
        <v>136</v>
      </c>
      <c r="B72" s="14" t="s">
        <v>137</v>
      </c>
      <c r="C72" s="15"/>
      <c r="D72" s="25">
        <f>840.92+2147.479+1800.44+384.51</f>
        <v>5173.3490000000002</v>
      </c>
      <c r="E72" s="25">
        <f>835.5+1875+1810+382.469</f>
        <v>4902.9690000000001</v>
      </c>
      <c r="F72" s="22">
        <f t="shared" si="2"/>
        <v>94.77</v>
      </c>
      <c r="G72" s="9"/>
      <c r="H72" s="10"/>
      <c r="I72" s="11"/>
      <c r="J72" s="11"/>
      <c r="K72" s="11"/>
      <c r="L72" s="11"/>
      <c r="M72" s="11"/>
      <c r="N72" s="11"/>
    </row>
    <row r="73" spans="1:15" s="12" customFormat="1" ht="15" customHeight="1" x14ac:dyDescent="0.2">
      <c r="A73" s="13" t="s">
        <v>138</v>
      </c>
      <c r="B73" s="14" t="s">
        <v>139</v>
      </c>
      <c r="C73" s="15" t="s">
        <v>140</v>
      </c>
      <c r="D73" s="27">
        <f>ROUND(((384.51+495.81)/6764.749)*100,2)</f>
        <v>13.01</v>
      </c>
      <c r="E73" s="27">
        <v>13.36</v>
      </c>
      <c r="F73" s="22">
        <f t="shared" si="2"/>
        <v>102.69</v>
      </c>
      <c r="G73" s="9"/>
      <c r="H73" s="10"/>
      <c r="I73" s="11"/>
      <c r="J73" s="11"/>
      <c r="K73" s="11"/>
      <c r="L73" s="11"/>
      <c r="M73" s="11"/>
      <c r="N73" s="11"/>
      <c r="O73" s="28"/>
    </row>
    <row r="74" spans="1:15" s="12" customFormat="1" ht="30" customHeight="1" x14ac:dyDescent="0.2">
      <c r="A74" s="13" t="s">
        <v>141</v>
      </c>
      <c r="B74" s="14" t="s">
        <v>142</v>
      </c>
      <c r="C74" s="15" t="s">
        <v>143</v>
      </c>
      <c r="D74" s="29">
        <v>247900</v>
      </c>
      <c r="E74" s="30">
        <f>257078</f>
        <v>257078</v>
      </c>
      <c r="F74" s="22">
        <f t="shared" si="2"/>
        <v>103.7</v>
      </c>
      <c r="G74" s="31"/>
      <c r="H74" s="32"/>
      <c r="I74" s="33"/>
      <c r="J74" s="33"/>
      <c r="K74" s="33"/>
      <c r="L74" s="33"/>
      <c r="M74" s="33"/>
      <c r="N74" s="33"/>
      <c r="O74" s="28"/>
    </row>
    <row r="75" spans="1:15" s="12" customFormat="1" ht="30" customHeight="1" x14ac:dyDescent="0.2">
      <c r="A75" s="13" t="s">
        <v>144</v>
      </c>
      <c r="B75" s="14" t="s">
        <v>145</v>
      </c>
      <c r="C75" s="15" t="s">
        <v>143</v>
      </c>
      <c r="D75" s="30">
        <v>64100.126179999999</v>
      </c>
      <c r="E75" s="30">
        <f>64100.12618</f>
        <v>64100.126179999999</v>
      </c>
      <c r="F75" s="22">
        <f t="shared" si="2"/>
        <v>100</v>
      </c>
      <c r="G75" s="24"/>
      <c r="H75" s="32"/>
      <c r="I75" s="33"/>
      <c r="J75" s="33"/>
      <c r="K75" s="33"/>
      <c r="L75" s="33"/>
      <c r="M75" s="33"/>
      <c r="N75" s="33"/>
      <c r="O75" s="28"/>
    </row>
    <row r="76" spans="1:15" s="12" customFormat="1" ht="45" customHeight="1" x14ac:dyDescent="0.2">
      <c r="A76" s="13" t="s">
        <v>146</v>
      </c>
      <c r="B76" s="14" t="s">
        <v>147</v>
      </c>
      <c r="C76" s="15" t="s">
        <v>140</v>
      </c>
      <c r="D76" s="34">
        <v>17</v>
      </c>
      <c r="E76" s="19" t="s">
        <v>19</v>
      </c>
      <c r="F76" s="20" t="s">
        <v>19</v>
      </c>
      <c r="G76" s="20" t="s">
        <v>19</v>
      </c>
      <c r="H76" s="10"/>
      <c r="I76" s="11"/>
      <c r="J76" s="11"/>
      <c r="K76" s="11"/>
      <c r="L76" s="11"/>
      <c r="M76" s="11"/>
      <c r="N76" s="11"/>
      <c r="O76" s="28"/>
    </row>
    <row r="78" spans="1:15" s="1" customFormat="1" ht="12.75" x14ac:dyDescent="0.2">
      <c r="A78" s="1" t="s">
        <v>148</v>
      </c>
      <c r="H78" s="2"/>
      <c r="I78" s="3"/>
      <c r="J78" s="3"/>
      <c r="K78" s="3"/>
      <c r="L78" s="3"/>
      <c r="M78" s="3"/>
      <c r="N78" s="3"/>
    </row>
    <row r="79" spans="1:15" s="1" customFormat="1" ht="39.75" customHeight="1" x14ac:dyDescent="0.2">
      <c r="A79" s="76" t="s">
        <v>149</v>
      </c>
      <c r="B79" s="76"/>
      <c r="C79" s="76"/>
      <c r="D79" s="76"/>
      <c r="E79" s="76"/>
      <c r="F79" s="76"/>
      <c r="G79" s="76"/>
      <c r="H79" s="2"/>
      <c r="I79" s="3"/>
      <c r="J79" s="3"/>
      <c r="K79" s="3"/>
      <c r="L79" s="3"/>
      <c r="M79" s="3"/>
      <c r="N79" s="3"/>
    </row>
    <row r="80" spans="1:15" s="1" customFormat="1" ht="18.75" customHeight="1" x14ac:dyDescent="0.2">
      <c r="A80" s="76" t="s">
        <v>150</v>
      </c>
      <c r="B80" s="76"/>
      <c r="C80" s="76"/>
      <c r="D80" s="76"/>
      <c r="E80" s="76"/>
      <c r="F80" s="76"/>
      <c r="G80" s="76"/>
      <c r="H80" s="2"/>
      <c r="I80" s="3"/>
      <c r="J80" s="3"/>
      <c r="K80" s="3"/>
      <c r="L80" s="3"/>
      <c r="M80" s="3"/>
      <c r="N80" s="3"/>
    </row>
    <row r="81" spans="1:14" s="1" customFormat="1" ht="12.75" x14ac:dyDescent="0.2">
      <c r="A81" s="76" t="s">
        <v>151</v>
      </c>
      <c r="B81" s="76"/>
      <c r="C81" s="76"/>
      <c r="D81" s="76"/>
      <c r="E81" s="76"/>
      <c r="F81" s="76"/>
      <c r="G81" s="76"/>
      <c r="H81" s="2"/>
      <c r="I81" s="3"/>
      <c r="J81" s="3"/>
      <c r="K81" s="3"/>
      <c r="L81" s="3"/>
      <c r="M81" s="3"/>
      <c r="N81" s="3"/>
    </row>
    <row r="82" spans="1:14" s="1" customFormat="1" ht="27.75" customHeight="1" x14ac:dyDescent="0.2">
      <c r="A82" s="76" t="s">
        <v>152</v>
      </c>
      <c r="B82" s="76"/>
      <c r="C82" s="76"/>
      <c r="D82" s="76"/>
      <c r="E82" s="76"/>
      <c r="F82" s="76"/>
      <c r="G82" s="76"/>
      <c r="H82" s="2"/>
      <c r="I82" s="3"/>
      <c r="J82" s="3"/>
      <c r="K82" s="3"/>
      <c r="L82" s="3"/>
      <c r="M82" s="3"/>
      <c r="N82" s="3"/>
    </row>
    <row r="83" spans="1:14" s="1" customFormat="1" ht="14.25" customHeight="1" x14ac:dyDescent="0.2">
      <c r="A83" s="76" t="s">
        <v>153</v>
      </c>
      <c r="B83" s="76"/>
      <c r="C83" s="76"/>
      <c r="D83" s="76"/>
      <c r="E83" s="76"/>
      <c r="F83" s="76"/>
      <c r="G83" s="76"/>
      <c r="H83" s="2"/>
      <c r="I83" s="3"/>
      <c r="J83" s="3"/>
      <c r="K83" s="3"/>
      <c r="L83" s="3"/>
      <c r="M83" s="3"/>
      <c r="N83" s="3"/>
    </row>
    <row r="84" spans="1:14" ht="11.25" customHeight="1" x14ac:dyDescent="0.25"/>
  </sheetData>
  <mergeCells count="11">
    <mergeCell ref="A5:G5"/>
    <mergeCell ref="A6:G6"/>
    <mergeCell ref="A7:G7"/>
    <mergeCell ref="A8:G8"/>
    <mergeCell ref="C15:C16"/>
    <mergeCell ref="D15:F15"/>
    <mergeCell ref="A79:G79"/>
    <mergeCell ref="A80:G80"/>
    <mergeCell ref="A81:G81"/>
    <mergeCell ref="A82:G82"/>
    <mergeCell ref="A83:G83"/>
  </mergeCells>
  <pageMargins left="0.39370078740157483" right="0.11811023622047245" top="0.19685039370078741" bottom="0" header="0" footer="0"/>
  <pageSetup paperSize="9" scale="59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год</vt:lpstr>
      <vt:lpstr>'2014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Любиченко Светлана Анатольевна</dc:creator>
  <cp:lastModifiedBy>Виноградова Елена Геннадьевна</cp:lastModifiedBy>
  <cp:lastPrinted>2015-03-30T07:20:41Z</cp:lastPrinted>
  <dcterms:created xsi:type="dcterms:W3CDTF">2015-03-26T10:21:50Z</dcterms:created>
  <dcterms:modified xsi:type="dcterms:W3CDTF">2015-03-30T13:18:49Z</dcterms:modified>
</cp:coreProperties>
</file>